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E25" i="1"/>
  <c r="E6" i="1" l="1"/>
  <c r="F6" i="1"/>
  <c r="F7" i="1" l="1"/>
  <c r="I8" i="1"/>
  <c r="I13" i="1" s="1"/>
  <c r="F8" i="1"/>
  <c r="F9" i="1" s="1"/>
  <c r="I9" i="1"/>
  <c r="I11" i="1" s="1"/>
  <c r="I12" i="1" s="1"/>
  <c r="H9" i="1"/>
  <c r="H11" i="1" s="1"/>
  <c r="H12" i="1" s="1"/>
  <c r="G9" i="1"/>
  <c r="G11" i="1" s="1"/>
  <c r="G12" i="1" s="1"/>
  <c r="F20" i="1"/>
  <c r="F10" i="1"/>
  <c r="I6" i="1"/>
  <c r="I7" i="1" s="1"/>
  <c r="H6" i="1"/>
  <c r="H7" i="1" s="1"/>
  <c r="G6" i="1"/>
  <c r="G7" i="1" s="1"/>
  <c r="H13" i="1"/>
  <c r="G13" i="1"/>
  <c r="E10" i="1"/>
  <c r="E20" i="1"/>
  <c r="F13" i="1" l="1"/>
  <c r="G15" i="1"/>
  <c r="G16" i="1" s="1"/>
  <c r="I15" i="1"/>
  <c r="I16" i="1" s="1"/>
  <c r="F11" i="1"/>
  <c r="F12" i="1" s="1"/>
  <c r="H15" i="1"/>
  <c r="H16" i="1" s="1"/>
  <c r="E21" i="1"/>
  <c r="F15" i="1"/>
  <c r="F16" i="1" s="1"/>
  <c r="E7" i="1"/>
  <c r="E15" i="1" s="1"/>
  <c r="E11" i="1"/>
  <c r="E12" i="1" s="1"/>
  <c r="D7" i="1"/>
  <c r="D19" i="1"/>
  <c r="D18" i="1"/>
  <c r="C19" i="1"/>
  <c r="C18" i="1"/>
  <c r="C7" i="1"/>
  <c r="C13" i="1" l="1"/>
  <c r="D13" i="1"/>
  <c r="E16" i="1"/>
  <c r="D11" i="1" l="1"/>
  <c r="D14" i="1"/>
  <c r="C10" i="1"/>
  <c r="H14" i="1"/>
  <c r="G14" i="1"/>
  <c r="F14" i="1"/>
  <c r="I14" i="1"/>
  <c r="E14" i="1"/>
  <c r="C11" i="1"/>
  <c r="C15" i="1"/>
  <c r="E17" i="1" s="1"/>
  <c r="D15" i="1"/>
  <c r="D16" i="1" s="1"/>
  <c r="D10" i="1"/>
  <c r="D12" i="1" l="1"/>
  <c r="F17" i="1"/>
  <c r="H17" i="1"/>
  <c r="C17" i="1"/>
  <c r="I17" i="1"/>
  <c r="C16" i="1"/>
  <c r="C12" i="1"/>
  <c r="G17" i="1"/>
  <c r="D17" i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C6" authorId="0">
      <text>
        <r>
          <rPr>
            <sz val="9"/>
            <color indexed="81"/>
            <rFont val="Tahoma"/>
            <family val="2"/>
            <charset val="238"/>
          </rPr>
          <t>dodávka tepla 10% DPH, nákup plynu 21%</t>
        </r>
      </text>
    </comment>
    <comment ref="D6" authorId="0">
      <text>
        <r>
          <rPr>
            <sz val="9"/>
            <color indexed="81"/>
            <rFont val="Tahoma"/>
            <family val="2"/>
            <charset val="238"/>
          </rPr>
          <t>dodávka tepla 10% DPH, nákup plynu 21%</t>
        </r>
      </text>
    </comment>
    <comment ref="E6" authorId="0">
      <text>
        <r>
          <rPr>
            <sz val="9"/>
            <color indexed="81"/>
            <rFont val="Tahoma"/>
            <family val="2"/>
            <charset val="238"/>
          </rPr>
          <t>dodávka tepla 10% DPH, nákup plynu 21%</t>
        </r>
      </text>
    </comment>
    <comment ref="F6" authorId="0">
      <text>
        <r>
          <rPr>
            <sz val="9"/>
            <color indexed="81"/>
            <rFont val="Tahoma"/>
            <family val="2"/>
            <charset val="238"/>
          </rPr>
          <t>dodávka tepla 10% DPH, nákup plynu 21%</t>
        </r>
      </text>
    </comment>
    <comment ref="G6" authorId="0">
      <text>
        <r>
          <rPr>
            <sz val="9"/>
            <color indexed="81"/>
            <rFont val="Tahoma"/>
            <family val="2"/>
            <charset val="238"/>
          </rPr>
          <t>dodávka tepla 10% DPH, nákup plynu 21%</t>
        </r>
      </text>
    </comment>
    <comment ref="H6" authorId="0">
      <text>
        <r>
          <rPr>
            <sz val="9"/>
            <color indexed="81"/>
            <rFont val="Tahoma"/>
            <family val="2"/>
            <charset val="238"/>
          </rPr>
          <t>dodávka tepla 10% DPH, nákup plynu 21%</t>
        </r>
      </text>
    </comment>
    <comment ref="I6" authorId="0">
      <text>
        <r>
          <rPr>
            <sz val="9"/>
            <color indexed="81"/>
            <rFont val="Tahoma"/>
            <family val="2"/>
            <charset val="238"/>
          </rPr>
          <t>dodávka tepla 10% DPH, nákup plynu 21%</t>
        </r>
      </text>
    </comment>
  </commentList>
</comments>
</file>

<file path=xl/sharedStrings.xml><?xml version="1.0" encoding="utf-8"?>
<sst xmlns="http://schemas.openxmlformats.org/spreadsheetml/2006/main" count="45" uniqueCount="43">
  <si>
    <t>Lehotsky capital</t>
  </si>
  <si>
    <t>Pražská teplarenská 2021</t>
  </si>
  <si>
    <t>Pražská teplarenská_návrh</t>
  </si>
  <si>
    <t>Vytápění SVJ 920</t>
  </si>
  <si>
    <t>Porovnání nákladů na vytápění</t>
  </si>
  <si>
    <t>závazek na 3 roky</t>
  </si>
  <si>
    <t>dnešní stav</t>
  </si>
  <si>
    <t>Prosun</t>
  </si>
  <si>
    <t>Alltech</t>
  </si>
  <si>
    <t>PRE</t>
  </si>
  <si>
    <t>plynová kotelna</t>
  </si>
  <si>
    <t>plynová kotelna I</t>
  </si>
  <si>
    <t>plynová kotelna II</t>
  </si>
  <si>
    <t>Servis a provoz + zisk/rok (Kč)</t>
  </si>
  <si>
    <t>Cena za proměnnou složku [Kč/GJ]</t>
  </si>
  <si>
    <t>Cena za stálou složku [Kč/kW]</t>
  </si>
  <si>
    <t xml:space="preserve">Průměrná cena (Kč vč. DPH/GJ) </t>
  </si>
  <si>
    <t>Sjednaný/instal. výkon D3 (kW)</t>
  </si>
  <si>
    <t>Sjednaný/instal. výkon D5 (kW)</t>
  </si>
  <si>
    <t>Celkem roční náklady [Kč]</t>
  </si>
  <si>
    <t>Proměnné náklady/rok [Kč]</t>
  </si>
  <si>
    <t>Množství tepla/rok  [GJ]</t>
  </si>
  <si>
    <t>Stálé náklady/rok [Kč]</t>
  </si>
  <si>
    <t>Cena za sj. Výk. D3 (Kč vč. DPH/kW)</t>
  </si>
  <si>
    <t>Cena za sj. Výk. D5 (Kč vč. DPH/kW)</t>
  </si>
  <si>
    <t>Cena za stálou složku [Kč/GJ]</t>
  </si>
  <si>
    <t>plynová kotelna - bez investice</t>
  </si>
  <si>
    <t>impact - Stálé náklady</t>
  </si>
  <si>
    <t>impact Celkem</t>
  </si>
  <si>
    <t>Investice [Kč vč. DPH]</t>
  </si>
  <si>
    <t>Návratnost [roky]</t>
  </si>
  <si>
    <t>Pozn.</t>
  </si>
  <si>
    <t>cena ze provoz? Odhad</t>
  </si>
  <si>
    <t>výhled na pokračování podmínek po uplynutí 3 let</t>
  </si>
  <si>
    <t>Náklady na odpojení</t>
  </si>
  <si>
    <t>Náklady na realizaci přípojky - projekt</t>
  </si>
  <si>
    <t>cca</t>
  </si>
  <si>
    <t>x</t>
  </si>
  <si>
    <t>pouze v režii dodavatelské výstavby kotelny, možnost odkoupení?, úspora pouze z rozdílu variabilní složky ceny (budoucnost?), vysoká stálé náklady</t>
  </si>
  <si>
    <t>úspory lze v průběhu 15 let dosáhnout pouze výraznějším rozdílem v proměnné složce ceny</t>
  </si>
  <si>
    <t>Odpis/rok - 15 let [Kč]</t>
  </si>
  <si>
    <t>pouze správa kotelny nebo smlouva o dodávce tepla? Úspory od 1. roku</t>
  </si>
  <si>
    <t>aktualizace proměnné složky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</si>
</sst>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/>
    <xf numFmtId="0" fontId="0" fillId="0" borderId="5" xfId="0" applyBorder="1"/>
    <xf numFmtId="0" fontId="0" fillId="0" borderId="7" xfId="0" applyBorder="1"/>
    <xf numFmtId="3" fontId="0" fillId="0" borderId="7" xfId="0" applyNumberFormat="1" applyBorder="1"/>
    <xf numFmtId="0" fontId="0" fillId="0" borderId="1" xfId="0" applyBorder="1" applyAlignment="1"/>
    <xf numFmtId="3" fontId="0" fillId="0" borderId="1" xfId="0" applyNumberFormat="1" applyBorder="1" applyAlignment="1"/>
    <xf numFmtId="3" fontId="0" fillId="2" borderId="7" xfId="0" applyNumberFormat="1" applyFill="1" applyBorder="1"/>
    <xf numFmtId="0" fontId="0" fillId="0" borderId="6" xfId="0" applyBorder="1"/>
    <xf numFmtId="3" fontId="0" fillId="0" borderId="6" xfId="0" applyNumberFormat="1" applyBorder="1"/>
    <xf numFmtId="0" fontId="0" fillId="3" borderId="5" xfId="0" applyFill="1" applyBorder="1"/>
    <xf numFmtId="0" fontId="1" fillId="5" borderId="8" xfId="0" applyFont="1" applyFill="1" applyBorder="1"/>
    <xf numFmtId="3" fontId="1" fillId="5" borderId="8" xfId="0" applyNumberFormat="1" applyFont="1" applyFill="1" applyBorder="1"/>
    <xf numFmtId="0" fontId="1" fillId="5" borderId="6" xfId="0" applyFont="1" applyFill="1" applyBorder="1"/>
    <xf numFmtId="3" fontId="1" fillId="5" borderId="6" xfId="0" applyNumberFormat="1" applyFont="1" applyFill="1" applyBorder="1"/>
    <xf numFmtId="3" fontId="0" fillId="0" borderId="8" xfId="0" applyNumberFormat="1" applyBorder="1"/>
    <xf numFmtId="3" fontId="4" fillId="3" borderId="5" xfId="0" applyNumberFormat="1" applyFont="1" applyFill="1" applyBorder="1"/>
    <xf numFmtId="3" fontId="0" fillId="3" borderId="1" xfId="0" applyNumberFormat="1" applyFill="1" applyBorder="1"/>
    <xf numFmtId="0" fontId="1" fillId="4" borderId="7" xfId="0" applyFont="1" applyFill="1" applyBorder="1"/>
    <xf numFmtId="3" fontId="1" fillId="4" borderId="7" xfId="0" applyNumberFormat="1" applyFont="1" applyFill="1" applyBorder="1"/>
    <xf numFmtId="0" fontId="0" fillId="4" borderId="6" xfId="0" applyFont="1" applyFill="1" applyBorder="1"/>
    <xf numFmtId="3" fontId="0" fillId="4" borderId="6" xfId="0" applyNumberFormat="1" applyFont="1" applyFill="1" applyBorder="1"/>
    <xf numFmtId="0" fontId="1" fillId="5" borderId="1" xfId="0" applyFont="1" applyFill="1" applyBorder="1"/>
    <xf numFmtId="3" fontId="1" fillId="5" borderId="1" xfId="0" applyNumberFormat="1" applyFont="1" applyFill="1" applyBorder="1"/>
    <xf numFmtId="3" fontId="1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8"/>
  <sheetViews>
    <sheetView tabSelected="1" workbookViewId="0">
      <selection activeCell="B2" sqref="B2:E2"/>
    </sheetView>
  </sheetViews>
  <sheetFormatPr defaultRowHeight="15" outlineLevelRow="1" x14ac:dyDescent="0.25"/>
  <cols>
    <col min="2" max="2" width="32.42578125" bestFit="1" customWidth="1"/>
    <col min="3" max="9" width="18.7109375" customWidth="1"/>
  </cols>
  <sheetData>
    <row r="2" spans="2:9" ht="18.75" x14ac:dyDescent="0.3">
      <c r="B2" s="34" t="s">
        <v>4</v>
      </c>
      <c r="C2" s="34"/>
      <c r="D2" s="34"/>
      <c r="E2" s="34"/>
    </row>
    <row r="3" spans="2:9" ht="30" x14ac:dyDescent="0.25">
      <c r="B3" s="3" t="s">
        <v>3</v>
      </c>
      <c r="C3" s="5" t="s">
        <v>1</v>
      </c>
      <c r="D3" s="5" t="s">
        <v>2</v>
      </c>
      <c r="E3" s="5" t="s">
        <v>0</v>
      </c>
      <c r="F3" s="5" t="s">
        <v>7</v>
      </c>
      <c r="G3" s="35" t="s">
        <v>8</v>
      </c>
      <c r="H3" s="36"/>
      <c r="I3" s="5" t="s">
        <v>9</v>
      </c>
    </row>
    <row r="4" spans="2:9" ht="30" x14ac:dyDescent="0.25">
      <c r="B4" s="3"/>
      <c r="C4" s="4" t="s">
        <v>6</v>
      </c>
      <c r="D4" s="4" t="s">
        <v>5</v>
      </c>
      <c r="E4" s="4" t="s">
        <v>26</v>
      </c>
      <c r="F4" s="4" t="s">
        <v>10</v>
      </c>
      <c r="G4" s="4" t="s">
        <v>11</v>
      </c>
      <c r="H4" s="4" t="s">
        <v>12</v>
      </c>
      <c r="I4" s="4" t="s">
        <v>10</v>
      </c>
    </row>
    <row r="5" spans="2:9" x14ac:dyDescent="0.25">
      <c r="B5" s="1" t="s">
        <v>21</v>
      </c>
      <c r="C5" s="2">
        <v>3773</v>
      </c>
      <c r="D5" s="2">
        <v>3773</v>
      </c>
      <c r="E5" s="2">
        <v>3773</v>
      </c>
      <c r="F5" s="2">
        <v>3773</v>
      </c>
      <c r="G5" s="2">
        <v>3773</v>
      </c>
      <c r="H5" s="2">
        <v>3773</v>
      </c>
      <c r="I5" s="2">
        <v>3773</v>
      </c>
    </row>
    <row r="6" spans="2:9" ht="15.75" thickBot="1" x14ac:dyDescent="0.3">
      <c r="B6" s="15" t="s">
        <v>14</v>
      </c>
      <c r="C6" s="21">
        <v>447.7</v>
      </c>
      <c r="D6" s="21">
        <v>447.7</v>
      </c>
      <c r="E6" s="21">
        <f>213.5*1.1</f>
        <v>234.85000000000002</v>
      </c>
      <c r="F6" s="21">
        <f>329.8*1.1</f>
        <v>362.78000000000003</v>
      </c>
      <c r="G6" s="21">
        <f>329.8*1.21</f>
        <v>399.05799999999999</v>
      </c>
      <c r="H6" s="21">
        <f>329.8*1.21</f>
        <v>399.05799999999999</v>
      </c>
      <c r="I6" s="21">
        <f>329.8*1.21</f>
        <v>399.05799999999999</v>
      </c>
    </row>
    <row r="7" spans="2:9" ht="16.5" thickTop="1" thickBot="1" x14ac:dyDescent="0.3">
      <c r="B7" s="13" t="s">
        <v>20</v>
      </c>
      <c r="C7" s="14">
        <f t="shared" ref="C7:I7" si="0">+C5*C6</f>
        <v>1689172.0999999999</v>
      </c>
      <c r="D7" s="14">
        <f t="shared" si="0"/>
        <v>1689172.0999999999</v>
      </c>
      <c r="E7" s="14">
        <f t="shared" si="0"/>
        <v>886089.05</v>
      </c>
      <c r="F7" s="14">
        <f t="shared" si="0"/>
        <v>1368768.9400000002</v>
      </c>
      <c r="G7" s="14">
        <f t="shared" si="0"/>
        <v>1505645.834</v>
      </c>
      <c r="H7" s="14">
        <f t="shared" si="0"/>
        <v>1505645.834</v>
      </c>
      <c r="I7" s="14">
        <f t="shared" si="0"/>
        <v>1505645.834</v>
      </c>
    </row>
    <row r="8" spans="2:9" ht="15.75" thickTop="1" x14ac:dyDescent="0.25">
      <c r="B8" s="8" t="s">
        <v>29</v>
      </c>
      <c r="C8" s="12">
        <v>0</v>
      </c>
      <c r="D8" s="12">
        <v>0</v>
      </c>
      <c r="E8" s="12">
        <v>0</v>
      </c>
      <c r="F8" s="9">
        <f>(4095550+1925950)*1.15</f>
        <v>6924724.9999999991</v>
      </c>
      <c r="G8" s="9">
        <v>5694000</v>
      </c>
      <c r="H8" s="9">
        <v>5636000</v>
      </c>
      <c r="I8" s="9">
        <f>4943439+2456967+120000</f>
        <v>7520406</v>
      </c>
    </row>
    <row r="9" spans="2:9" x14ac:dyDescent="0.25">
      <c r="B9" s="8" t="s">
        <v>40</v>
      </c>
      <c r="C9" s="12">
        <v>0</v>
      </c>
      <c r="D9" s="12">
        <v>0</v>
      </c>
      <c r="E9" s="12">
        <v>0</v>
      </c>
      <c r="F9" s="9">
        <f>+F8/15</f>
        <v>461648.33333333326</v>
      </c>
      <c r="G9" s="9">
        <f t="shared" ref="G9:I9" si="1">+G8/15</f>
        <v>379600</v>
      </c>
      <c r="H9" s="9">
        <f t="shared" si="1"/>
        <v>375733.33333333331</v>
      </c>
      <c r="I9" s="9">
        <f t="shared" si="1"/>
        <v>501360.4</v>
      </c>
    </row>
    <row r="10" spans="2:9" x14ac:dyDescent="0.25">
      <c r="B10" s="1" t="s">
        <v>13</v>
      </c>
      <c r="C10" s="2">
        <f>+C13</f>
        <v>663489.19999999995</v>
      </c>
      <c r="D10" s="2">
        <f>+D13</f>
        <v>445901.5</v>
      </c>
      <c r="E10" s="2">
        <f>+E13</f>
        <v>807467</v>
      </c>
      <c r="F10" s="2">
        <f>+(56.98+49.71+21.82)*1.1*F5</f>
        <v>533355.05299999996</v>
      </c>
      <c r="G10" s="2">
        <v>116000</v>
      </c>
      <c r="H10" s="2">
        <v>207000</v>
      </c>
      <c r="I10" s="22">
        <v>200000</v>
      </c>
    </row>
    <row r="11" spans="2:9" x14ac:dyDescent="0.25">
      <c r="B11" s="7" t="s">
        <v>15</v>
      </c>
      <c r="C11" s="2">
        <f>+C13/(C18+C19)</f>
        <v>1329.6376753507013</v>
      </c>
      <c r="D11" s="2">
        <f>+D13/(D18+D19)</f>
        <v>1331.0492537313432</v>
      </c>
      <c r="E11" s="2">
        <f>1321*1.1</f>
        <v>1453.1000000000001</v>
      </c>
      <c r="F11" s="2">
        <f>+F20+F9/F5*3.6*1.45</f>
        <v>1309.519337556321</v>
      </c>
      <c r="G11" s="2">
        <f>(G10/G5+G9/G5)*3.6*1.45</f>
        <v>685.66975881261601</v>
      </c>
      <c r="H11" s="2">
        <f>(H10/H5+H9/H5)*3.6*1.45</f>
        <v>806.21998409753519</v>
      </c>
      <c r="I11" s="2">
        <f>(I10/I5+I9/I5)*3.6*1.45</f>
        <v>970.34224436787702</v>
      </c>
    </row>
    <row r="12" spans="2:9" ht="15.75" outlineLevel="1" thickBot="1" x14ac:dyDescent="0.3">
      <c r="B12" s="7" t="s">
        <v>25</v>
      </c>
      <c r="C12" s="20">
        <f>ROUND(C11/3.6/1.45,0)</f>
        <v>255</v>
      </c>
      <c r="D12" s="20">
        <f t="shared" ref="D12:I12" si="2">ROUND(D11/3.6/1.45,0)</f>
        <v>255</v>
      </c>
      <c r="E12" s="20">
        <f t="shared" si="2"/>
        <v>278</v>
      </c>
      <c r="F12" s="20">
        <f t="shared" si="2"/>
        <v>251</v>
      </c>
      <c r="G12" s="20">
        <f t="shared" si="2"/>
        <v>131</v>
      </c>
      <c r="H12" s="20">
        <f t="shared" si="2"/>
        <v>154</v>
      </c>
      <c r="I12" s="20">
        <f t="shared" si="2"/>
        <v>186</v>
      </c>
    </row>
    <row r="13" spans="2:9" ht="16.5" thickTop="1" thickBot="1" x14ac:dyDescent="0.3">
      <c r="B13" s="13" t="s">
        <v>22</v>
      </c>
      <c r="C13" s="14">
        <f>+C20*C18+C19*C21</f>
        <v>663489.19999999995</v>
      </c>
      <c r="D13" s="14">
        <f>+D20*D18+D19*D21</f>
        <v>445901.5</v>
      </c>
      <c r="E13" s="14">
        <v>807467</v>
      </c>
      <c r="F13" s="14">
        <f>+F10+F9</f>
        <v>995003.38633333321</v>
      </c>
      <c r="G13" s="14">
        <f>+G10+G8/15</f>
        <v>495600</v>
      </c>
      <c r="H13" s="14">
        <f>+H10+H8/15</f>
        <v>582733.33333333326</v>
      </c>
      <c r="I13" s="14">
        <f>+I10+I8/15</f>
        <v>701360.4</v>
      </c>
    </row>
    <row r="14" spans="2:9" ht="16.5" thickTop="1" thickBot="1" x14ac:dyDescent="0.3">
      <c r="B14" s="25" t="s">
        <v>27</v>
      </c>
      <c r="C14" s="26">
        <v>0</v>
      </c>
      <c r="D14" s="26">
        <f>+D13-$C$13</f>
        <v>-217587.69999999995</v>
      </c>
      <c r="E14" s="26">
        <f t="shared" ref="E14:I14" si="3">+E13-$C$13</f>
        <v>143977.80000000005</v>
      </c>
      <c r="F14" s="26">
        <f t="shared" si="3"/>
        <v>331514.18633333326</v>
      </c>
      <c r="G14" s="26">
        <f t="shared" si="3"/>
        <v>-167889.19999999995</v>
      </c>
      <c r="H14" s="26">
        <f t="shared" si="3"/>
        <v>-80755.866666666698</v>
      </c>
      <c r="I14" s="26">
        <f t="shared" si="3"/>
        <v>37871.20000000007</v>
      </c>
    </row>
    <row r="15" spans="2:9" ht="16.5" thickTop="1" thickBot="1" x14ac:dyDescent="0.3">
      <c r="B15" s="16" t="s">
        <v>19</v>
      </c>
      <c r="C15" s="17">
        <f t="shared" ref="C15:I15" si="4">+C7+C13</f>
        <v>2352661.2999999998</v>
      </c>
      <c r="D15" s="17">
        <f t="shared" si="4"/>
        <v>2135073.5999999996</v>
      </c>
      <c r="E15" s="17">
        <f t="shared" si="4"/>
        <v>1693556.05</v>
      </c>
      <c r="F15" s="17">
        <f t="shared" si="4"/>
        <v>2363772.3263333333</v>
      </c>
      <c r="G15" s="17">
        <f t="shared" si="4"/>
        <v>2001245.834</v>
      </c>
      <c r="H15" s="17">
        <f t="shared" si="4"/>
        <v>2088379.1673333333</v>
      </c>
      <c r="I15" s="17">
        <f t="shared" si="4"/>
        <v>2207006.2340000002</v>
      </c>
    </row>
    <row r="16" spans="2:9" ht="16.5" thickTop="1" thickBot="1" x14ac:dyDescent="0.3">
      <c r="B16" s="18" t="s">
        <v>16</v>
      </c>
      <c r="C16" s="19">
        <f t="shared" ref="C16:I16" si="5">+C15/C5</f>
        <v>623.55189504373175</v>
      </c>
      <c r="D16" s="19">
        <f t="shared" si="5"/>
        <v>565.88221574344016</v>
      </c>
      <c r="E16" s="19">
        <f t="shared" si="5"/>
        <v>448.86192684866154</v>
      </c>
      <c r="F16" s="19">
        <f t="shared" si="5"/>
        <v>626.49677347822239</v>
      </c>
      <c r="G16" s="19">
        <f t="shared" si="5"/>
        <v>530.41235992578845</v>
      </c>
      <c r="H16" s="19">
        <f t="shared" si="5"/>
        <v>553.5062728156197</v>
      </c>
      <c r="I16" s="19">
        <f t="shared" si="5"/>
        <v>584.94731884442092</v>
      </c>
    </row>
    <row r="17" spans="2:10" ht="15.75" thickTop="1" x14ac:dyDescent="0.25">
      <c r="B17" s="23" t="s">
        <v>28</v>
      </c>
      <c r="C17" s="24">
        <f>+C15-$C$15</f>
        <v>0</v>
      </c>
      <c r="D17" s="24">
        <f>+D15-$C$15</f>
        <v>-217587.70000000019</v>
      </c>
      <c r="E17" s="24">
        <f>+E15-$C$15</f>
        <v>-659105.24999999977</v>
      </c>
      <c r="F17" s="24">
        <f t="shared" ref="F17:I17" si="6">+F15-$C$15</f>
        <v>11111.026333333459</v>
      </c>
      <c r="G17" s="24">
        <f t="shared" si="6"/>
        <v>-351415.46599999978</v>
      </c>
      <c r="H17" s="24">
        <f t="shared" si="6"/>
        <v>-264282.13266666653</v>
      </c>
      <c r="I17" s="24">
        <f t="shared" si="6"/>
        <v>-145655.06599999964</v>
      </c>
    </row>
    <row r="18" spans="2:10" outlineLevel="1" x14ac:dyDescent="0.25">
      <c r="B18" s="1" t="s">
        <v>17</v>
      </c>
      <c r="C18" s="1">
        <f>220+170</f>
        <v>390</v>
      </c>
      <c r="D18" s="1">
        <f>145+110</f>
        <v>255</v>
      </c>
      <c r="E18" s="6">
        <v>480</v>
      </c>
      <c r="F18" s="1">
        <v>640</v>
      </c>
      <c r="G18" s="1">
        <v>640</v>
      </c>
      <c r="H18" s="37">
        <v>780</v>
      </c>
      <c r="I18" s="1">
        <v>780</v>
      </c>
    </row>
    <row r="19" spans="2:10" outlineLevel="1" x14ac:dyDescent="0.25">
      <c r="B19" s="1" t="s">
        <v>18</v>
      </c>
      <c r="C19" s="1">
        <f>55+54</f>
        <v>109</v>
      </c>
      <c r="D19" s="1">
        <f>40+40</f>
        <v>80</v>
      </c>
      <c r="E19" s="1">
        <v>130</v>
      </c>
      <c r="F19" s="1">
        <v>240</v>
      </c>
      <c r="G19" s="1">
        <v>160</v>
      </c>
      <c r="H19" s="37"/>
      <c r="I19" s="1">
        <v>160</v>
      </c>
    </row>
    <row r="20" spans="2:10" outlineLevel="1" x14ac:dyDescent="0.25">
      <c r="B20" s="10" t="s">
        <v>23</v>
      </c>
      <c r="C20" s="11">
        <v>1314.5</v>
      </c>
      <c r="D20" s="11">
        <v>1314.5</v>
      </c>
      <c r="E20" s="11">
        <f>+E18+E19</f>
        <v>610</v>
      </c>
      <c r="F20" s="38">
        <f>(56.98+49.71+21.82)*3.6*1.45</f>
        <v>670.82219999999995</v>
      </c>
      <c r="G20" s="11"/>
      <c r="H20" s="11"/>
      <c r="I20" s="11"/>
    </row>
    <row r="21" spans="2:10" outlineLevel="1" x14ac:dyDescent="0.25">
      <c r="B21" s="10" t="s">
        <v>24</v>
      </c>
      <c r="C21" s="11">
        <v>1383.8</v>
      </c>
      <c r="D21" s="11">
        <v>1383.8</v>
      </c>
      <c r="E21" s="11">
        <f>+E10/E20</f>
        <v>1323.716393442623</v>
      </c>
      <c r="F21" s="39"/>
      <c r="G21" s="11"/>
      <c r="H21" s="11"/>
      <c r="I21" s="11"/>
    </row>
    <row r="23" spans="2:10" x14ac:dyDescent="0.25">
      <c r="B23" s="7" t="s">
        <v>34</v>
      </c>
      <c r="C23" s="2">
        <v>0</v>
      </c>
      <c r="D23" s="2">
        <v>0</v>
      </c>
      <c r="E23" s="42">
        <v>1500000</v>
      </c>
      <c r="F23" s="43"/>
      <c r="G23" s="43"/>
      <c r="H23" s="43"/>
      <c r="I23" s="44"/>
      <c r="J23" t="s">
        <v>36</v>
      </c>
    </row>
    <row r="24" spans="2:10" x14ac:dyDescent="0.25">
      <c r="B24" s="7" t="s">
        <v>35</v>
      </c>
      <c r="C24" s="20">
        <v>0</v>
      </c>
      <c r="D24" s="20">
        <v>0</v>
      </c>
      <c r="E24" s="42">
        <v>100000</v>
      </c>
      <c r="F24" s="43"/>
      <c r="G24" s="43"/>
      <c r="H24" s="43"/>
      <c r="I24" s="44"/>
      <c r="J24" t="s">
        <v>36</v>
      </c>
    </row>
    <row r="25" spans="2:10" x14ac:dyDescent="0.25">
      <c r="B25" s="27" t="s">
        <v>30</v>
      </c>
      <c r="C25" s="28">
        <v>0</v>
      </c>
      <c r="D25" s="28">
        <v>0</v>
      </c>
      <c r="E25" s="28">
        <f>($E$23+$E$24)/-E17</f>
        <v>2.4275333871183706</v>
      </c>
      <c r="F25" s="29" t="s">
        <v>37</v>
      </c>
      <c r="G25" s="28">
        <f t="shared" ref="F25:I25" si="7">($E$23+$E$24)/-G17</f>
        <v>4.5530153189102984</v>
      </c>
      <c r="H25" s="28">
        <f t="shared" si="7"/>
        <v>6.0541361001428209</v>
      </c>
      <c r="I25" s="28">
        <f t="shared" si="7"/>
        <v>10.984856510243207</v>
      </c>
    </row>
    <row r="27" spans="2:10" x14ac:dyDescent="0.25">
      <c r="B27" s="37" t="s">
        <v>31</v>
      </c>
      <c r="C27" s="41" t="s">
        <v>42</v>
      </c>
      <c r="D27" s="41"/>
      <c r="E27" s="41"/>
      <c r="F27" s="41"/>
      <c r="G27" s="41"/>
      <c r="H27" s="41"/>
      <c r="I27" s="41"/>
    </row>
    <row r="28" spans="2:10" ht="114.75" x14ac:dyDescent="0.25">
      <c r="B28" s="37"/>
      <c r="C28" s="30"/>
      <c r="D28" s="31" t="s">
        <v>33</v>
      </c>
      <c r="E28" s="32" t="s">
        <v>38</v>
      </c>
      <c r="F28" s="31" t="s">
        <v>39</v>
      </c>
      <c r="G28" s="40" t="s">
        <v>41</v>
      </c>
      <c r="H28" s="40"/>
      <c r="I28" s="33" t="s">
        <v>32</v>
      </c>
    </row>
  </sheetData>
  <mergeCells count="9">
    <mergeCell ref="B2:E2"/>
    <mergeCell ref="G3:H3"/>
    <mergeCell ref="H18:H19"/>
    <mergeCell ref="F20:F21"/>
    <mergeCell ref="G28:H28"/>
    <mergeCell ref="C27:I27"/>
    <mergeCell ref="E24:I24"/>
    <mergeCell ref="E23:I23"/>
    <mergeCell ref="B27:B28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Svec</dc:creator>
  <cp:lastModifiedBy>Uživatel systému Windows</cp:lastModifiedBy>
  <dcterms:created xsi:type="dcterms:W3CDTF">2021-09-28T19:17:47Z</dcterms:created>
  <dcterms:modified xsi:type="dcterms:W3CDTF">2021-11-02T23:32:17Z</dcterms:modified>
</cp:coreProperties>
</file>